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2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eadli/Dropbox/PWFALC/HALHF/myDocs/"/>
    </mc:Choice>
  </mc:AlternateContent>
  <xr:revisionPtr revIDLastSave="0" documentId="13_ncr:1_{4DFD90EF-FD69-3345-8FE9-BEA040E80CC2}" xr6:coauthVersionLast="47" xr6:coauthVersionMax="47" xr10:uidLastSave="{00000000-0000-0000-0000-000000000000}"/>
  <bookViews>
    <workbookView xWindow="3040" yWindow="760" windowWidth="27040" windowHeight="18880" xr2:uid="{46AC7D98-D8CB-E442-B88F-FC8143AE440B}"/>
  </bookViews>
  <sheets>
    <sheet name="Sheet1" sheetId="1" r:id="rId1"/>
  </sheets>
  <definedNames>
    <definedName name="SI_c">Sheet1!$B$2</definedName>
    <definedName name="SI_e">Sheet1!$B$1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44" i="1" l="1"/>
  <c r="I43" i="1"/>
  <c r="F18" i="1"/>
  <c r="F15" i="1"/>
  <c r="F17" i="1" s="1"/>
  <c r="F14" i="1"/>
  <c r="F31" i="1" s="1"/>
  <c r="I18" i="1"/>
  <c r="I14" i="1"/>
  <c r="I19" i="1" s="1"/>
  <c r="D41" i="1"/>
  <c r="E39" i="1"/>
  <c r="E41" i="1" s="1"/>
  <c r="F41" i="1"/>
  <c r="C41" i="1"/>
  <c r="D17" i="1"/>
  <c r="E17" i="1" s="1"/>
  <c r="E8" i="1"/>
  <c r="E10" i="1" s="1"/>
  <c r="D8" i="1"/>
  <c r="D10" i="1" s="1"/>
  <c r="C10" i="1"/>
  <c r="C9" i="1" s="1"/>
  <c r="C14" i="1" s="1"/>
  <c r="C16" i="1" s="1"/>
  <c r="C19" i="1" s="1"/>
  <c r="F32" i="1"/>
  <c r="F40" i="1" s="1"/>
  <c r="H18" i="1"/>
  <c r="G14" i="1"/>
  <c r="C18" i="1"/>
  <c r="F16" i="1" l="1"/>
  <c r="F19" i="1" s="1"/>
  <c r="C24" i="1"/>
  <c r="C26" i="1" s="1"/>
  <c r="C32" i="1" s="1"/>
  <c r="C40" i="1" s="1"/>
  <c r="F37" i="1"/>
  <c r="E9" i="1"/>
  <c r="E14" i="1" s="1"/>
  <c r="E24" i="1"/>
  <c r="E26" i="1" s="1"/>
  <c r="D9" i="1"/>
  <c r="D14" i="1" s="1"/>
  <c r="D24" i="1"/>
  <c r="D26" i="1" s="1"/>
  <c r="E31" i="1"/>
  <c r="I41" i="1"/>
  <c r="D16" i="1"/>
  <c r="F33" i="1"/>
  <c r="C31" i="1" l="1"/>
  <c r="D31" i="1"/>
  <c r="D19" i="1"/>
  <c r="E16" i="1"/>
  <c r="D15" i="1"/>
  <c r="D18" i="1" s="1"/>
  <c r="D32" i="1" s="1"/>
  <c r="D37" i="1" s="1"/>
  <c r="C33" i="1"/>
  <c r="D33" i="1" l="1"/>
  <c r="D40" i="1"/>
  <c r="I40" i="1" s="1"/>
  <c r="E19" i="1"/>
  <c r="E15" i="1"/>
  <c r="E18" i="1" s="1"/>
  <c r="E32" i="1" s="1"/>
  <c r="E40" i="1" l="1"/>
  <c r="E33" i="1"/>
</calcChain>
</file>

<file path=xl/sharedStrings.xml><?xml version="1.0" encoding="utf-8"?>
<sst xmlns="http://schemas.openxmlformats.org/spreadsheetml/2006/main" count="70" uniqueCount="64">
  <si>
    <t>HALHF 2.0</t>
  </si>
  <si>
    <t>250 GeV</t>
  </si>
  <si>
    <t>avg rep rate</t>
  </si>
  <si>
    <t>SI_c</t>
  </si>
  <si>
    <t>SI_e</t>
  </si>
  <si>
    <t>1.602e-19</t>
  </si>
  <si>
    <t>2.998e8</t>
  </si>
  <si>
    <t>MB power e-</t>
  </si>
  <si>
    <t>MB power e+</t>
  </si>
  <si>
    <t>MB power total</t>
  </si>
  <si>
    <t>DB power e-</t>
  </si>
  <si>
    <t xml:space="preserve">  DB to MB efficiency e-</t>
  </si>
  <si>
    <t xml:space="preserve">  PWFA e-</t>
  </si>
  <si>
    <t>COOL COPPER</t>
  </si>
  <si>
    <t>total power e+</t>
  </si>
  <si>
    <t>W2B eff</t>
  </si>
  <si>
    <t>TOTAL LINACS</t>
  </si>
  <si>
    <t>DB linac W2B eff</t>
  </si>
  <si>
    <t>total power e-</t>
  </si>
  <si>
    <t xml:space="preserve">  Wall to MB efficiency e-</t>
  </si>
  <si>
    <t>Linac power total</t>
  </si>
  <si>
    <t>380 GeV</t>
  </si>
  <si>
    <t>Wall to MB total eff</t>
  </si>
  <si>
    <t xml:space="preserve">   </t>
  </si>
  <si>
    <t>Conclusion:</t>
  </si>
  <si>
    <t xml:space="preserve">   but, </t>
  </si>
  <si>
    <t xml:space="preserve">  Therefore, the total power for the target luminosity is higher</t>
  </si>
  <si>
    <t>Luminosity</t>
  </si>
  <si>
    <t>CLIC 2022 (Snowmass=)</t>
  </si>
  <si>
    <t>Improved from 2018, will be further improved in 2025</t>
  </si>
  <si>
    <t xml:space="preserve">   HALHF linacs are on average more power efficienct (20%+ ish), mainly due to 40% PWFA DB2MB</t>
  </si>
  <si>
    <t>IP beam sizes</t>
  </si>
  <si>
    <t xml:space="preserve"> 636 x 6.6 nm2</t>
  </si>
  <si>
    <t xml:space="preserve"> 149 x 2.0 nm2</t>
  </si>
  <si>
    <t>IP betas</t>
  </si>
  <si>
    <t>The luminosity per power of CLIC is therefore 4-5 times higher than that of HALHF</t>
  </si>
  <si>
    <t>CDR: 0.2</t>
  </si>
  <si>
    <t>CDR: 0.55</t>
  </si>
  <si>
    <t xml:space="preserve">  HALHF needs twice more beam power for the target luminosity.</t>
  </si>
  <si>
    <t xml:space="preserve">      reason: the low positron energy  ("maximum" energy assymetry not good, since lum. driven by positrons, goes down?)</t>
  </si>
  <si>
    <t xml:space="preserve"> 3.3 x 0.1 mm2</t>
  </si>
  <si>
    <t xml:space="preserve"> 8 x 0.1 mm2</t>
  </si>
  <si>
    <t>CLIC</t>
  </si>
  <si>
    <t>DB wall plug</t>
  </si>
  <si>
    <t>(without CR, TR)</t>
  </si>
  <si>
    <t>energy e-</t>
  </si>
  <si>
    <t>energy e+</t>
  </si>
  <si>
    <t>boost</t>
  </si>
  <si>
    <t>HALHF 380</t>
  </si>
  <si>
    <t>COM, sqrt(s)</t>
  </si>
  <si>
    <t>550 GeV</t>
  </si>
  <si>
    <t>Total power</t>
  </si>
  <si>
    <t>Luminosity per total power</t>
  </si>
  <si>
    <t>Luminosity per linacs power</t>
  </si>
  <si>
    <t>(with imperfections)</t>
  </si>
  <si>
    <t>Ratio CLIC380/HALHF380:</t>
  </si>
  <si>
    <t xml:space="preserve"> 520 x 5.3 nm2</t>
  </si>
  <si>
    <t>DB power / total power</t>
  </si>
  <si>
    <r>
      <rPr>
        <b/>
        <i/>
        <sz val="12"/>
        <color theme="1"/>
        <rFont val="Aptos Narrow"/>
        <family val="2"/>
        <scheme val="minor"/>
      </rPr>
      <t>one</t>
    </r>
    <r>
      <rPr>
        <b/>
        <sz val="12"/>
        <color theme="1"/>
        <rFont val="Aptos Narrow"/>
        <family val="2"/>
        <scheme val="minor"/>
      </rPr>
      <t xml:space="preserve"> e- arm</t>
    </r>
  </si>
  <si>
    <t>(with CLIC imperfections)</t>
  </si>
  <si>
    <t>CDR 3 TeV</t>
  </si>
  <si>
    <t>Man. calc</t>
  </si>
  <si>
    <t>(wihtout DB combination/transport)</t>
  </si>
  <si>
    <t>without imperfections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</si>
</sst>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0" x14ac:knownFonts="1">
    <font>
      <sz val="12"/>
      <color theme="1"/>
      <name val="Aptos Narrow"/>
      <family val="2"/>
      <scheme val="minor"/>
    </font>
    <font>
      <b/>
      <sz val="12"/>
      <color theme="1"/>
      <name val="Aptos Narrow"/>
      <scheme val="minor"/>
    </font>
    <font>
      <sz val="12"/>
      <color theme="1"/>
      <name val="Aptos Narrow"/>
      <scheme val="minor"/>
    </font>
    <font>
      <b/>
      <i/>
      <sz val="12"/>
      <color theme="1"/>
      <name val="Aptos Narrow"/>
      <scheme val="minor"/>
    </font>
    <font>
      <b/>
      <sz val="12"/>
      <color theme="1"/>
      <name val="Aptos Narrow"/>
      <family val="2"/>
      <scheme val="minor"/>
    </font>
    <font>
      <b/>
      <i/>
      <sz val="12"/>
      <color theme="1"/>
      <name val="Aptos Narrow"/>
      <family val="2"/>
      <scheme val="minor"/>
    </font>
    <font>
      <sz val="12"/>
      <color theme="0" tint="-0.34998626667073579"/>
      <name val="Aptos Narrow"/>
      <family val="2"/>
      <scheme val="minor"/>
    </font>
    <font>
      <b/>
      <sz val="12"/>
      <color theme="0" tint="-0.34998626667073579"/>
      <name val="Aptos Narrow"/>
      <family val="2"/>
      <scheme val="minor"/>
    </font>
    <font>
      <i/>
      <sz val="12"/>
      <color theme="0" tint="-0.34998626667073579"/>
      <name val="Aptos Narrow"/>
      <family val="2"/>
      <scheme val="minor"/>
    </font>
    <font>
      <b/>
      <i/>
      <sz val="12"/>
      <color theme="0" tint="-0.34998626667073579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11" fontId="0" fillId="0" borderId="0" xfId="0" applyNumberForma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4" fillId="0" borderId="1" xfId="0" applyFont="1" applyBorder="1"/>
    <xf numFmtId="11" fontId="4" fillId="0" borderId="0" xfId="0" applyNumberFormat="1" applyFont="1"/>
    <xf numFmtId="164" fontId="4" fillId="0" borderId="0" xfId="0" applyNumberFormat="1" applyFont="1"/>
    <xf numFmtId="164" fontId="4" fillId="0" borderId="1" xfId="0" applyNumberFormat="1" applyFont="1" applyBorder="1"/>
    <xf numFmtId="11" fontId="4" fillId="0" borderId="1" xfId="0" applyNumberFormat="1" applyFont="1" applyBorder="1"/>
    <xf numFmtId="0" fontId="6" fillId="0" borderId="0" xfId="0" applyFont="1"/>
    <xf numFmtId="11" fontId="6" fillId="0" borderId="0" xfId="0" applyNumberFormat="1" applyFont="1"/>
    <xf numFmtId="11" fontId="7" fillId="0" borderId="0" xfId="0" applyNumberFormat="1" applyFont="1"/>
    <xf numFmtId="164" fontId="6" fillId="0" borderId="0" xfId="0" applyNumberFormat="1" applyFont="1"/>
    <xf numFmtId="0" fontId="7" fillId="0" borderId="0" xfId="0" applyFont="1"/>
    <xf numFmtId="164" fontId="7" fillId="0" borderId="0" xfId="0" applyNumberFormat="1" applyFont="1"/>
    <xf numFmtId="11" fontId="7" fillId="0" borderId="1" xfId="0" applyNumberFormat="1" applyFont="1" applyBorder="1"/>
    <xf numFmtId="0" fontId="7" fillId="0" borderId="1" xfId="0" applyFont="1" applyBorder="1"/>
    <xf numFmtId="0" fontId="8" fillId="0" borderId="0" xfId="0" applyFont="1"/>
    <xf numFmtId="0" fontId="9" fillId="0" borderId="1" xfId="0" applyFont="1" applyBorder="1"/>
    <xf numFmtId="11" fontId="4" fillId="2" borderId="0" xfId="0" applyNumberFormat="1" applyFont="1" applyFill="1"/>
    <xf numFmtId="11" fontId="4" fillId="3" borderId="0" xfId="0" applyNumberFormat="1" applyFont="1" applyFill="1"/>
    <xf numFmtId="0" fontId="0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0</xdr:colOff>
      <xdr:row>2</xdr:row>
      <xdr:rowOff>0</xdr:rowOff>
    </xdr:from>
    <xdr:to>
      <xdr:col>13</xdr:col>
      <xdr:colOff>581615</xdr:colOff>
      <xdr:row>19</xdr:row>
      <xdr:rowOff>2585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66DC25F-31A3-2C06-FC84-10D93A4EFC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036903" y="404602"/>
          <a:ext cx="2222500" cy="34417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30AF8F-C66D-A348-84C6-91F017BD3CE3}">
  <dimension ref="A1:K53"/>
  <sheetViews>
    <sheetView tabSelected="1" workbookViewId="0">
      <selection activeCell="F23" sqref="F22:F23"/>
    </sheetView>
  </sheetViews>
  <sheetFormatPr baseColWidth="10" defaultRowHeight="16" x14ac:dyDescent="0.2"/>
  <cols>
    <col min="2" max="2" width="21.33203125" customWidth="1"/>
    <col min="3" max="3" width="22" style="11" customWidth="1"/>
    <col min="4" max="4" width="26" style="5" customWidth="1"/>
    <col min="5" max="5" width="10.33203125" style="11" customWidth="1"/>
    <col min="6" max="6" width="12.33203125" style="6" customWidth="1"/>
    <col min="7" max="7" width="13.5" customWidth="1"/>
    <col min="9" max="9" width="12.1640625" style="2" customWidth="1"/>
  </cols>
  <sheetData>
    <row r="1" spans="1:11" x14ac:dyDescent="0.2">
      <c r="A1" t="s">
        <v>4</v>
      </c>
      <c r="B1" t="s">
        <v>5</v>
      </c>
    </row>
    <row r="2" spans="1:11" x14ac:dyDescent="0.2">
      <c r="A2" t="s">
        <v>3</v>
      </c>
      <c r="B2" t="s">
        <v>6</v>
      </c>
    </row>
    <row r="3" spans="1:11" x14ac:dyDescent="0.2">
      <c r="C3" s="15" t="s">
        <v>0</v>
      </c>
      <c r="D3" s="5" t="s">
        <v>48</v>
      </c>
      <c r="F3" s="6" t="s">
        <v>28</v>
      </c>
      <c r="G3" s="3"/>
    </row>
    <row r="4" spans="1:11" x14ac:dyDescent="0.2">
      <c r="C4" s="11" t="s">
        <v>1</v>
      </c>
      <c r="D4" s="5" t="s">
        <v>21</v>
      </c>
      <c r="E4" s="11" t="s">
        <v>50</v>
      </c>
      <c r="F4" s="6" t="s">
        <v>21</v>
      </c>
    </row>
    <row r="5" spans="1:11" x14ac:dyDescent="0.2">
      <c r="B5" t="s">
        <v>2</v>
      </c>
      <c r="C5" s="12">
        <v>16000</v>
      </c>
      <c r="D5" s="7">
        <v>16000</v>
      </c>
      <c r="E5" s="12">
        <v>16000</v>
      </c>
    </row>
    <row r="6" spans="1:11" x14ac:dyDescent="0.2">
      <c r="C6" s="12"/>
      <c r="D6" s="7"/>
    </row>
    <row r="7" spans="1:11" x14ac:dyDescent="0.2">
      <c r="B7" t="s">
        <v>49</v>
      </c>
      <c r="C7" s="12">
        <v>250</v>
      </c>
      <c r="D7" s="7">
        <v>380</v>
      </c>
      <c r="E7" s="11">
        <v>550</v>
      </c>
      <c r="G7" s="11"/>
      <c r="H7" s="11"/>
      <c r="I7" s="12"/>
      <c r="J7" s="11"/>
      <c r="K7" s="11"/>
    </row>
    <row r="8" spans="1:11" x14ac:dyDescent="0.2">
      <c r="B8" t="s">
        <v>47</v>
      </c>
      <c r="C8" s="12">
        <v>1.6659999999999999</v>
      </c>
      <c r="D8" s="7">
        <f>C8</f>
        <v>1.6659999999999999</v>
      </c>
      <c r="E8" s="12">
        <f>C8</f>
        <v>1.6659999999999999</v>
      </c>
      <c r="G8" s="11"/>
      <c r="H8" s="11"/>
      <c r="I8" s="12"/>
      <c r="J8" s="11"/>
      <c r="K8" s="11"/>
    </row>
    <row r="9" spans="1:11" x14ac:dyDescent="0.2">
      <c r="B9" t="s">
        <v>45</v>
      </c>
      <c r="C9" s="12">
        <f>C7^2/C10/4</f>
        <v>374.81248827392085</v>
      </c>
      <c r="D9" s="7">
        <f>D7^2/D10/4</f>
        <v>569.71498217635963</v>
      </c>
      <c r="E9" s="12">
        <f>E7^2/E10/4</f>
        <v>824.5874742026258</v>
      </c>
      <c r="G9" s="11"/>
      <c r="H9" s="11"/>
      <c r="I9" s="12"/>
      <c r="J9" s="11"/>
      <c r="K9" s="11"/>
    </row>
    <row r="10" spans="1:11" x14ac:dyDescent="0.2">
      <c r="B10" t="s">
        <v>46</v>
      </c>
      <c r="C10" s="12">
        <f>(1/2)*C7*(C8-SQRT(C8^2-1))</f>
        <v>41.687511726079208</v>
      </c>
      <c r="D10" s="7">
        <f>(1/2)*D7*(D8-SQRT(D8^2-1))</f>
        <v>63.365017823640393</v>
      </c>
      <c r="E10" s="12">
        <f>(1/2)*E7*(E8-SQRT(E8^2-1))</f>
        <v>91.712525797374255</v>
      </c>
      <c r="G10" s="11"/>
      <c r="H10" s="11"/>
      <c r="I10" s="12"/>
      <c r="J10" s="11"/>
      <c r="K10" s="11"/>
    </row>
    <row r="11" spans="1:11" x14ac:dyDescent="0.2">
      <c r="F11" s="6" t="s">
        <v>42</v>
      </c>
      <c r="G11" s="11"/>
      <c r="H11" s="11"/>
      <c r="I11" s="12"/>
      <c r="J11" s="11"/>
      <c r="K11" s="11"/>
    </row>
    <row r="12" spans="1:11" x14ac:dyDescent="0.2">
      <c r="B12" s="4" t="s">
        <v>12</v>
      </c>
      <c r="F12" s="6" t="s">
        <v>58</v>
      </c>
      <c r="G12" s="11"/>
      <c r="H12" s="11"/>
      <c r="I12" s="12"/>
      <c r="J12" s="11"/>
      <c r="K12" s="11"/>
    </row>
    <row r="13" spans="1:11" x14ac:dyDescent="0.2">
      <c r="B13" t="s">
        <v>43</v>
      </c>
      <c r="G13" s="11"/>
      <c r="H13" s="11"/>
      <c r="I13" s="12" t="s">
        <v>61</v>
      </c>
      <c r="J13" s="11"/>
      <c r="K13" s="11"/>
    </row>
    <row r="14" spans="1:11" x14ac:dyDescent="0.2">
      <c r="B14" t="s">
        <v>7</v>
      </c>
      <c r="C14" s="13">
        <f>10000000000*SI_e*C$5*C9*1000000000</f>
        <v>9607193.6994371396</v>
      </c>
      <c r="D14" s="7">
        <f>10000000000*SI_e*D$5*D9*1000000000</f>
        <v>14602934.423144452</v>
      </c>
      <c r="E14" s="13">
        <f>10000000000*SI_e*E$5*E9*1000000000</f>
        <v>21135826.138761707</v>
      </c>
      <c r="F14" s="21">
        <f>5300838.4/2</f>
        <v>2650419.2000000002</v>
      </c>
      <c r="G14" s="13">
        <f>3700000000*312*50*SI_e*3000000000000/2</f>
        <v>13870116</v>
      </c>
      <c r="H14" s="11"/>
      <c r="I14" s="17">
        <f>5200000000*352*50*SI_e*380000000000/2</f>
        <v>2785685.76</v>
      </c>
      <c r="J14" s="11"/>
      <c r="K14" s="11"/>
    </row>
    <row r="15" spans="1:11" x14ac:dyDescent="0.2">
      <c r="B15" t="s">
        <v>10</v>
      </c>
      <c r="C15" s="12">
        <v>23800000</v>
      </c>
      <c r="D15" s="7">
        <f>D14/D16</f>
        <v>36176000</v>
      </c>
      <c r="E15" s="12">
        <f>E14/E16</f>
        <v>52359999.999999993</v>
      </c>
      <c r="F15" s="22">
        <f>19149889/2</f>
        <v>9574944.5</v>
      </c>
      <c r="G15" s="11"/>
      <c r="H15" s="11"/>
      <c r="I15" s="18"/>
      <c r="J15" s="11"/>
      <c r="K15" s="11"/>
    </row>
    <row r="16" spans="1:11" x14ac:dyDescent="0.2">
      <c r="B16" t="s">
        <v>11</v>
      </c>
      <c r="C16" s="14">
        <f>C14/C15</f>
        <v>0.40366360081668656</v>
      </c>
      <c r="D16" s="8">
        <f>C16</f>
        <v>0.40366360081668656</v>
      </c>
      <c r="E16" s="14">
        <f>D16</f>
        <v>0.40366360081668656</v>
      </c>
      <c r="F16" s="8">
        <f>F14/F15</f>
        <v>0.27680778724096</v>
      </c>
      <c r="G16" s="19" t="s">
        <v>60</v>
      </c>
      <c r="H16" s="11" t="s">
        <v>36</v>
      </c>
      <c r="I16" s="20"/>
      <c r="J16" s="11"/>
      <c r="K16" s="11"/>
    </row>
    <row r="17" spans="2:11" x14ac:dyDescent="0.2">
      <c r="B17" t="s">
        <v>17</v>
      </c>
      <c r="C17" s="14">
        <v>0.55000000000000004</v>
      </c>
      <c r="D17" s="8">
        <f>C17</f>
        <v>0.55000000000000004</v>
      </c>
      <c r="E17" s="14">
        <f>D17</f>
        <v>0.55000000000000004</v>
      </c>
      <c r="F17" s="8">
        <f>F15/F18</f>
        <v>0.49679961905755138</v>
      </c>
      <c r="G17" s="19" t="s">
        <v>60</v>
      </c>
      <c r="H17" s="11" t="s">
        <v>37</v>
      </c>
      <c r="I17" s="20"/>
      <c r="J17" s="11"/>
      <c r="K17" s="11"/>
    </row>
    <row r="18" spans="2:11" x14ac:dyDescent="0.2">
      <c r="B18" t="s">
        <v>18</v>
      </c>
      <c r="C18" s="12">
        <f>C15/C17</f>
        <v>43272727.272727266</v>
      </c>
      <c r="D18" s="7">
        <f>D15/D17</f>
        <v>65774545.454545446</v>
      </c>
      <c r="E18" s="12">
        <f>E15/E17</f>
        <v>95199999.999999985</v>
      </c>
      <c r="F18" s="7">
        <f>38546505/2</f>
        <v>19273252.5</v>
      </c>
      <c r="G18" s="23" t="s">
        <v>44</v>
      </c>
      <c r="H18" s="11">
        <f>(6+1+45+14)*1000000</f>
        <v>66000000</v>
      </c>
      <c r="I18" s="17">
        <f>39000000/2</f>
        <v>19500000</v>
      </c>
      <c r="J18" s="11" t="s">
        <v>44</v>
      </c>
      <c r="K18" s="11"/>
    </row>
    <row r="19" spans="2:11" x14ac:dyDescent="0.2">
      <c r="B19" t="s">
        <v>19</v>
      </c>
      <c r="C19" s="16">
        <f>C16*C17</f>
        <v>0.22201498044917764</v>
      </c>
      <c r="D19" s="8">
        <f>D16*D17</f>
        <v>0.22201498044917764</v>
      </c>
      <c r="E19" s="14">
        <f>E16*E17</f>
        <v>0.22201498044917764</v>
      </c>
      <c r="F19" s="8">
        <f>F17*F16</f>
        <v>0.13751800325347266</v>
      </c>
      <c r="G19" s="11" t="s">
        <v>29</v>
      </c>
      <c r="H19" s="11"/>
      <c r="I19" s="17">
        <f>I14/I18</f>
        <v>0.14285567999999998</v>
      </c>
      <c r="J19" s="11"/>
      <c r="K19" s="11"/>
    </row>
    <row r="20" spans="2:11" x14ac:dyDescent="0.2">
      <c r="G20" s="11"/>
      <c r="H20" s="11"/>
      <c r="I20" s="12"/>
      <c r="J20" s="11"/>
      <c r="K20" s="11"/>
    </row>
    <row r="21" spans="2:11" x14ac:dyDescent="0.2">
      <c r="C21" s="12"/>
      <c r="G21" s="11"/>
      <c r="H21" s="11"/>
      <c r="I21" s="12"/>
      <c r="J21" s="11"/>
      <c r="K21" s="11"/>
    </row>
    <row r="22" spans="2:11" x14ac:dyDescent="0.2">
      <c r="G22" s="11"/>
      <c r="H22" s="11"/>
      <c r="I22" s="12"/>
      <c r="J22" s="11"/>
      <c r="K22" s="11"/>
    </row>
    <row r="23" spans="2:11" x14ac:dyDescent="0.2">
      <c r="B23" s="4" t="s">
        <v>13</v>
      </c>
      <c r="G23" s="11"/>
      <c r="H23" s="11"/>
      <c r="I23" s="12"/>
      <c r="J23" s="11"/>
      <c r="K23" s="11"/>
    </row>
    <row r="24" spans="2:11" x14ac:dyDescent="0.2">
      <c r="B24" t="s">
        <v>8</v>
      </c>
      <c r="C24" s="12">
        <f>3*10000000000*SI_e*C$5*C10*1000000000</f>
        <v>3205602.9016885869</v>
      </c>
      <c r="D24" s="7">
        <f>3*10000000000*SI_e*D$5*D10*1000000000</f>
        <v>4872516.4105666522</v>
      </c>
      <c r="E24" s="12">
        <f>3*10000000000*SI_e*E$5*E10*1000000000</f>
        <v>7052326.383714891</v>
      </c>
      <c r="G24" s="11"/>
      <c r="H24" s="11"/>
      <c r="I24" s="12"/>
      <c r="J24" s="11"/>
      <c r="K24" s="11"/>
    </row>
    <row r="25" spans="2:11" x14ac:dyDescent="0.2">
      <c r="B25" t="s">
        <v>15</v>
      </c>
      <c r="C25" s="14">
        <v>0.11</v>
      </c>
      <c r="D25" s="8">
        <v>0.11</v>
      </c>
      <c r="E25" s="14">
        <v>0.11</v>
      </c>
      <c r="G25" s="11"/>
      <c r="H25" s="11"/>
      <c r="I25" s="12"/>
      <c r="J25" s="11"/>
      <c r="K25" s="11"/>
    </row>
    <row r="26" spans="2:11" x14ac:dyDescent="0.2">
      <c r="B26" t="s">
        <v>14</v>
      </c>
      <c r="C26" s="12">
        <f>C24/C25</f>
        <v>29141844.560805336</v>
      </c>
      <c r="D26" s="7">
        <f>D24/D25</f>
        <v>44295603.73242411</v>
      </c>
      <c r="E26" s="12">
        <f>E24/E25</f>
        <v>64112058.033771738</v>
      </c>
      <c r="G26" s="11"/>
      <c r="H26" s="11"/>
      <c r="I26" s="12"/>
      <c r="J26" s="11"/>
      <c r="K26" s="11"/>
    </row>
    <row r="27" spans="2:11" x14ac:dyDescent="0.2">
      <c r="G27" s="11"/>
      <c r="H27" s="11"/>
      <c r="I27" s="12"/>
      <c r="J27" s="11"/>
      <c r="K27" s="11"/>
    </row>
    <row r="28" spans="2:11" x14ac:dyDescent="0.2">
      <c r="G28" s="11"/>
      <c r="H28" s="11"/>
      <c r="I28" s="12"/>
      <c r="J28" s="11"/>
      <c r="K28" s="11"/>
    </row>
    <row r="29" spans="2:11" x14ac:dyDescent="0.2">
      <c r="G29" s="11"/>
      <c r="H29" s="11"/>
      <c r="I29" s="12"/>
      <c r="J29" s="11"/>
      <c r="K29" s="11"/>
    </row>
    <row r="30" spans="2:11" x14ac:dyDescent="0.2">
      <c r="B30" t="s">
        <v>16</v>
      </c>
    </row>
    <row r="31" spans="2:11" x14ac:dyDescent="0.2">
      <c r="B31" t="s">
        <v>9</v>
      </c>
      <c r="C31" s="13">
        <f>C14+C24</f>
        <v>12812796.601125726</v>
      </c>
      <c r="D31" s="7">
        <f>D14+D24</f>
        <v>19475450.833711103</v>
      </c>
      <c r="E31" s="13">
        <f>E14+E24</f>
        <v>28188152.522476599</v>
      </c>
      <c r="F31" s="10">
        <f>F14*2</f>
        <v>5300838.4000000004</v>
      </c>
    </row>
    <row r="32" spans="2:11" x14ac:dyDescent="0.2">
      <c r="B32" t="s">
        <v>20</v>
      </c>
      <c r="C32" s="12">
        <f>C18+C26</f>
        <v>72414571.833532602</v>
      </c>
      <c r="D32" s="7">
        <f>D18+D26</f>
        <v>110070149.18696955</v>
      </c>
      <c r="E32" s="12">
        <f>E18+E26</f>
        <v>159312058.03377172</v>
      </c>
      <c r="F32" s="10">
        <f>F18*2</f>
        <v>38546505</v>
      </c>
      <c r="G32" t="s">
        <v>62</v>
      </c>
    </row>
    <row r="33" spans="2:10" x14ac:dyDescent="0.2">
      <c r="B33" s="1" t="s">
        <v>22</v>
      </c>
      <c r="C33" s="13">
        <f>C31/C32</f>
        <v>0.17693671697154989</v>
      </c>
      <c r="D33" s="7">
        <f>D31/D32</f>
        <v>0.17693671697154989</v>
      </c>
      <c r="E33" s="13">
        <f>E31/E32</f>
        <v>0.17693671697154989</v>
      </c>
      <c r="F33" s="10">
        <f>F31/F32</f>
        <v>0.13751800325347266</v>
      </c>
    </row>
    <row r="34" spans="2:10" x14ac:dyDescent="0.2">
      <c r="B34" t="s">
        <v>23</v>
      </c>
    </row>
    <row r="35" spans="2:10" x14ac:dyDescent="0.2">
      <c r="B35" t="s">
        <v>51</v>
      </c>
      <c r="C35" s="12">
        <v>106000000</v>
      </c>
      <c r="D35" s="7">
        <v>154000000</v>
      </c>
      <c r="E35" s="12">
        <v>218000000</v>
      </c>
      <c r="F35" s="10">
        <v>110000000</v>
      </c>
    </row>
    <row r="37" spans="2:10" x14ac:dyDescent="0.2">
      <c r="B37" t="s">
        <v>57</v>
      </c>
      <c r="C37" s="14"/>
      <c r="D37" s="9">
        <f>D32/D35</f>
        <v>0.71474122848681521</v>
      </c>
      <c r="E37" s="14"/>
      <c r="F37" s="9">
        <f>F32/F35</f>
        <v>0.35042277272727274</v>
      </c>
    </row>
    <row r="39" spans="2:10" x14ac:dyDescent="0.2">
      <c r="B39" t="s">
        <v>27</v>
      </c>
      <c r="C39" s="12">
        <v>1.1999999999999999E+34</v>
      </c>
      <c r="D39" s="7">
        <v>1.7E+34</v>
      </c>
      <c r="E39" s="12">
        <f>D39*SQRT(E7/D7)</f>
        <v>2.0452126385395981E+34</v>
      </c>
      <c r="F39" s="10">
        <v>2.2999999999999998E+34</v>
      </c>
      <c r="G39" t="s">
        <v>54</v>
      </c>
      <c r="I39" s="2">
        <v>4.5</v>
      </c>
      <c r="J39" t="s">
        <v>63</v>
      </c>
    </row>
    <row r="40" spans="2:10" x14ac:dyDescent="0.2">
      <c r="B40" t="s">
        <v>53</v>
      </c>
      <c r="C40" s="13">
        <f>C39/C32</f>
        <v>1.6571250365997783E+26</v>
      </c>
      <c r="D40" s="7">
        <f>D39/D32</f>
        <v>1.5444696064800568E+26</v>
      </c>
      <c r="E40" s="13">
        <f>E39/E32</f>
        <v>1.2837776774599474E+26</v>
      </c>
      <c r="F40" s="10">
        <f>F39/F32</f>
        <v>5.9668185221980563E+26</v>
      </c>
      <c r="G40" s="2" t="s">
        <v>55</v>
      </c>
      <c r="I40" s="7">
        <f>F40/D40</f>
        <v>3.8633447347641954</v>
      </c>
      <c r="J40" t="s">
        <v>59</v>
      </c>
    </row>
    <row r="41" spans="2:10" x14ac:dyDescent="0.2">
      <c r="B41" t="s">
        <v>52</v>
      </c>
      <c r="C41" s="13">
        <f>C39/C35</f>
        <v>1.1320754716981132E+26</v>
      </c>
      <c r="D41" s="7">
        <f>D39/D35</f>
        <v>1.1038961038961038E+26</v>
      </c>
      <c r="E41" s="13">
        <f>E39/E35</f>
        <v>9.3817093510990733E+25</v>
      </c>
      <c r="F41" s="7">
        <f>F39/F35</f>
        <v>2.0909090909090909E+26</v>
      </c>
      <c r="G41" s="2" t="s">
        <v>55</v>
      </c>
      <c r="I41" s="7">
        <f>F41/D41</f>
        <v>1.8941176470588237</v>
      </c>
      <c r="J41" t="s">
        <v>59</v>
      </c>
    </row>
    <row r="43" spans="2:10" x14ac:dyDescent="0.2">
      <c r="B43" t="s">
        <v>31</v>
      </c>
      <c r="C43" s="11" t="s">
        <v>32</v>
      </c>
      <c r="D43" s="5" t="s">
        <v>56</v>
      </c>
      <c r="F43" s="6" t="s">
        <v>33</v>
      </c>
      <c r="I43" s="2">
        <f>5.3/2</f>
        <v>2.65</v>
      </c>
    </row>
    <row r="44" spans="2:10" x14ac:dyDescent="0.2">
      <c r="B44" t="s">
        <v>34</v>
      </c>
      <c r="C44" s="11" t="s">
        <v>40</v>
      </c>
      <c r="D44" s="5" t="s">
        <v>40</v>
      </c>
      <c r="F44" s="6" t="s">
        <v>41</v>
      </c>
      <c r="I44" s="2">
        <f>SQRT(190/C10)</f>
        <v>2.134881696350146</v>
      </c>
    </row>
    <row r="47" spans="2:10" x14ac:dyDescent="0.2">
      <c r="B47" s="1" t="s">
        <v>24</v>
      </c>
    </row>
    <row r="48" spans="2:10" x14ac:dyDescent="0.2">
      <c r="B48" t="s">
        <v>30</v>
      </c>
    </row>
    <row r="49" spans="2:2" x14ac:dyDescent="0.2">
      <c r="B49" t="s">
        <v>25</v>
      </c>
    </row>
    <row r="50" spans="2:2" x14ac:dyDescent="0.2">
      <c r="B50" t="s">
        <v>38</v>
      </c>
    </row>
    <row r="51" spans="2:2" x14ac:dyDescent="0.2">
      <c r="B51" t="s">
        <v>26</v>
      </c>
    </row>
    <row r="52" spans="2:2" x14ac:dyDescent="0.2">
      <c r="B52" t="s">
        <v>39</v>
      </c>
    </row>
    <row r="53" spans="2:2" x14ac:dyDescent="0.2">
      <c r="B53" t="s">
        <v>35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SI_c</vt:lpstr>
      <vt:lpstr>SI_e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 Adli</dc:creator>
  <cp:lastModifiedBy>Erik Adli</cp:lastModifiedBy>
  <dcterms:created xsi:type="dcterms:W3CDTF">2025-01-06T11:45:25Z</dcterms:created>
  <dcterms:modified xsi:type="dcterms:W3CDTF">2025-01-15T16:54:21Z</dcterms:modified>
</cp:coreProperties>
</file>